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120" tabRatio="260" activeTab="1"/>
  </bookViews>
  <sheets>
    <sheet name="RT60 Analysis" sheetId="1" r:id="rId1"/>
    <sheet name="SPL Analysis" sheetId="2" r:id="rId2"/>
  </sheets>
  <definedNames>
    <definedName name="d">'SPL Analysis'!$J$38</definedName>
    <definedName name="fcr">'SPL Analysis'!$J$2</definedName>
    <definedName name="m">'SPL Analysis'!$J$1</definedName>
    <definedName name="mm">'SPL Analysis'!$J$37</definedName>
    <definedName name="n">'SPL Analysis'!$J$4</definedName>
    <definedName name="rhoc">'SPL Analysis'!$J$3</definedName>
    <definedName name="s">'SPL Analysis'!$J$23</definedName>
    <definedName name="ss">'SPL Analysis'!$J$39</definedName>
    <definedName name="v">'SPL Analysis'!$J$23</definedName>
    <definedName name="w0">'SPL Analysis'!$J$40</definedName>
  </definedNames>
  <calcPr fullCalcOnLoad="1"/>
</workbook>
</file>

<file path=xl/sharedStrings.xml><?xml version="1.0" encoding="utf-8"?>
<sst xmlns="http://schemas.openxmlformats.org/spreadsheetml/2006/main" count="114" uniqueCount="82">
  <si>
    <t>Floor</t>
  </si>
  <si>
    <t>Ceiling</t>
  </si>
  <si>
    <t>Walls</t>
  </si>
  <si>
    <t>Wood</t>
  </si>
  <si>
    <t>Concrete</t>
  </si>
  <si>
    <t>Glass</t>
  </si>
  <si>
    <t>Surface</t>
  </si>
  <si>
    <t>Material</t>
  </si>
  <si>
    <t>Area</t>
  </si>
  <si>
    <t>Frequency</t>
  </si>
  <si>
    <t>Equivalent Absorption Area</t>
  </si>
  <si>
    <t>Upholstered Seats</t>
  </si>
  <si>
    <t>Area/Count</t>
  </si>
  <si>
    <t>Glass Wall</t>
  </si>
  <si>
    <t>Absorption Coefficients</t>
  </si>
  <si>
    <t>Equivalent Absorption Area Contributions</t>
  </si>
  <si>
    <t>Occupied Seat</t>
  </si>
  <si>
    <t>Equivalent Absorption Area (m²) unoccupied</t>
  </si>
  <si>
    <t>Equivalent Absorption Area (m²) occupied</t>
  </si>
  <si>
    <t>Painted Concrete</t>
  </si>
  <si>
    <t>Modified Concrete</t>
  </si>
  <si>
    <t>Equivalent Absorption Area (m²) modified concrete</t>
  </si>
  <si>
    <t>Wall, Ceiling</t>
  </si>
  <si>
    <t>Unmodified concrete</t>
  </si>
  <si>
    <t>Unpainted Concrete</t>
  </si>
  <si>
    <t>Equivalent Absorption Area (m²) w/ 8 performers</t>
  </si>
  <si>
    <t>Carpet on Concrete</t>
  </si>
  <si>
    <t>1/2" Gypsum Board</t>
  </si>
  <si>
    <t>m'' =</t>
  </si>
  <si>
    <r>
      <t>f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=</t>
    </r>
  </si>
  <si>
    <t>η =</t>
  </si>
  <si>
    <t>ρc =</t>
  </si>
  <si>
    <t>S =</t>
  </si>
  <si>
    <t>Volume (m³) =</t>
  </si>
  <si>
    <t>s'' =</t>
  </si>
  <si>
    <r>
      <t>ω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² =</t>
    </r>
  </si>
  <si>
    <t>m</t>
  </si>
  <si>
    <t>kg/m²</t>
  </si>
  <si>
    <r>
      <t>f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</si>
  <si>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(dB)</t>
    </r>
  </si>
  <si>
    <t>m²</t>
  </si>
  <si>
    <t>rad/s</t>
  </si>
  <si>
    <t>Hz</t>
  </si>
  <si>
    <t>http://www.rfcafe.com/references/general/density-building-materials.htm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</si>
  <si>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(dB)</t>
    </r>
  </si>
  <si>
    <r>
      <rPr>
        <b/>
        <sz val="10"/>
        <rFont val="Arial"/>
        <family val="2"/>
      </rPr>
      <t>5/8" gypsum</t>
    </r>
    <r>
      <rPr>
        <sz val="10"/>
        <rFont val="Arial"/>
        <family val="2"/>
      </rPr>
      <t xml:space="preserve">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'' =</t>
    </r>
  </si>
  <si>
    <t>New Source dB</t>
  </si>
  <si>
    <t>Source power</t>
  </si>
  <si>
    <t>Old Source dB</t>
  </si>
  <si>
    <t>Old A</t>
  </si>
  <si>
    <t>New A</t>
  </si>
  <si>
    <t>dB SPL</t>
  </si>
  <si>
    <t>Source dB SPL</t>
  </si>
  <si>
    <t>w/ Gypsum Double Leaf Partition</t>
  </si>
  <si>
    <t>(3c) SPL Received in Adjacent Room with Double Leaf Partition</t>
  </si>
  <si>
    <t>(3b) SPL Received in Adjacent Room</t>
  </si>
  <si>
    <t>(3a) RT60 (sec) w/ 8 performers</t>
  </si>
  <si>
    <t>(1) RT60 (sec) unoccupied</t>
  </si>
  <si>
    <t>(2) Power Transmission Loss Associated with Concrete Wall</t>
  </si>
  <si>
    <t>(4a) RT60 (sec) occupied</t>
  </si>
  <si>
    <t>(4b) RT60 (sec) occupied w/ modified concrete</t>
  </si>
  <si>
    <t>(5) New SPL Calculations after Performance Room Modifications</t>
  </si>
  <si>
    <t>(5) SPL Received in Adjacent Room after Performance Room Modifications</t>
  </si>
  <si>
    <t>(5) SPL Received in Adjacent Room with Double Leaf and Perf Room Mod</t>
  </si>
  <si>
    <t>RT60 in Performance Room</t>
  </si>
  <si>
    <t>(2) R</t>
  </si>
  <si>
    <t>(3b) Equivalent Absorption Area Contributions</t>
  </si>
  <si>
    <t>(3b) Absorption Coefficients</t>
  </si>
  <si>
    <t>(3c) SPL Threshold of Audibility</t>
  </si>
  <si>
    <t>(3b) dB SPL</t>
  </si>
  <si>
    <t>Configuration</t>
  </si>
  <si>
    <t>Equivalent Absorption Area Totals</t>
  </si>
  <si>
    <r>
      <rPr>
        <b/>
        <sz val="10"/>
        <rFont val="Arial"/>
        <family val="2"/>
      </rPr>
      <t>13 cm gap</t>
    </r>
    <r>
      <rPr>
        <sz val="10"/>
        <rFont val="Arial"/>
        <family val="2"/>
      </rPr>
      <t xml:space="preserve"> d =</t>
    </r>
  </si>
  <si>
    <t>Le = Ls - 10 log (Ae/S) - R</t>
  </si>
  <si>
    <t xml:space="preserve">Tolerance = </t>
  </si>
  <si>
    <t>(3c) SPL w/Gypsum</t>
  </si>
  <si>
    <t>Margin</t>
  </si>
  <si>
    <t>Max allowed SPL</t>
  </si>
  <si>
    <t>Must reduce by</t>
  </si>
  <si>
    <t>Tolerance</t>
  </si>
  <si>
    <t>Audible SPL</t>
  </si>
  <si>
    <t>(5) SPL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</si>
</sst>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\ ??/16"/>
    <numFmt numFmtId="173" formatCode="#,##0.##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2"/>
      <color indexed="53"/>
      <name val="Arial"/>
      <family val="2"/>
    </font>
    <font>
      <b/>
      <sz val="10.5"/>
      <color indexed="8"/>
      <name val="Arial"/>
      <family val="2"/>
    </font>
    <font>
      <sz val="8"/>
      <color indexed="23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2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0" borderId="0" xfId="53" applyAlignment="1" applyProtection="1">
      <alignment/>
      <protection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6" fontId="58" fillId="33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0" fontId="58" fillId="4" borderId="0" xfId="0" applyFont="1" applyFill="1" applyAlignment="1">
      <alignment/>
    </xf>
    <xf numFmtId="2" fontId="58" fillId="4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8" fillId="4" borderId="0" xfId="0" applyFont="1" applyFill="1" applyAlignment="1">
      <alignment horizontal="left"/>
    </xf>
    <xf numFmtId="166" fontId="58" fillId="4" borderId="0" xfId="0" applyNumberFormat="1" applyFont="1" applyFill="1" applyAlignment="1">
      <alignment/>
    </xf>
    <xf numFmtId="0" fontId="5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58" fillId="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RT60 in Performance Room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025"/>
          <c:w val="0.6985"/>
          <c:h val="0.7725"/>
        </c:manualLayout>
      </c:layout>
      <c:lineChart>
        <c:grouping val="standard"/>
        <c:varyColors val="0"/>
        <c:ser>
          <c:idx val="0"/>
          <c:order val="0"/>
          <c:tx>
            <c:v>(1) Unoccupied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'RT60 Analysis'!$D$13:$I$13</c:f>
              <c:numCache/>
            </c:numRef>
          </c:cat>
          <c:val>
            <c:numRef>
              <c:f>'RT60 Analysis'!$D$36:$I$36</c:f>
              <c:numCache/>
            </c:numRef>
          </c:val>
          <c:smooth val="0"/>
        </c:ser>
        <c:ser>
          <c:idx val="3"/>
          <c:order val="1"/>
          <c:tx>
            <c:v>(3a) Performers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'RT60 Analysis'!$D$37:$I$37</c:f>
              <c:numCache/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RT60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9425"/>
          <c:w val="0.23475"/>
          <c:h val="0.2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RT60 in Performance Room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975"/>
          <c:w val="0.70775"/>
          <c:h val="0.77225"/>
        </c:manualLayout>
      </c:layout>
      <c:lineChart>
        <c:grouping val="standard"/>
        <c:varyColors val="0"/>
        <c:ser>
          <c:idx val="1"/>
          <c:order val="0"/>
          <c:tx>
            <c:v>(4a) Occupied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0.0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'RT60 Analysis'!$D$13:$I$13</c:f>
              <c:numCache/>
            </c:numRef>
          </c:cat>
          <c:val>
            <c:numRef>
              <c:f>'RT60 Analysis'!$D$38:$I$38</c:f>
              <c:numCache/>
            </c:numRef>
          </c:val>
          <c:smooth val="0"/>
        </c:ser>
        <c:ser>
          <c:idx val="2"/>
          <c:order val="1"/>
          <c:tx>
            <c:v>(4b) Occupied, Painted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1.700</a:t>
                    </a:r>
                  </a:p>
                </c:rich>
              </c:tx>
              <c:numFmt formatCode="0.000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'RT60 Analysis'!$D$13:$I$13</c:f>
              <c:numCache/>
            </c:numRef>
          </c:cat>
          <c:val>
            <c:numRef>
              <c:f>'RT60 Analysis'!$D$39:$I$39</c:f>
              <c:numCache/>
            </c:numRef>
          </c:val>
          <c:smooth val="0"/>
        </c:ser>
        <c:marker val="1"/>
        <c:axId val="18740347"/>
        <c:axId val="34445396"/>
      </c:lineChart>
      <c:catAx>
        <c:axId val="1874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RT60</a:t>
                </a:r>
              </a:p>
            </c:rich>
          </c:tx>
          <c:layout>
            <c:manualLayout>
              <c:xMode val="factor"/>
              <c:yMode val="factor"/>
              <c:x val="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0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39425"/>
          <c:w val="0.2365"/>
          <c:h val="0.2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Power Transmission Loss for Concrete Wall</a:t>
            </a:r>
          </a:p>
        </c:rich>
      </c:tx>
      <c:layout>
        <c:manualLayout>
          <c:xMode val="factor"/>
          <c:yMode val="factor"/>
          <c:x val="-0.018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75"/>
          <c:w val="0.90975"/>
          <c:h val="0.7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Analysis'!$B$3:$G$3</c:f>
              <c:numCache/>
            </c:numRef>
          </c:cat>
          <c:val>
            <c:numRef>
              <c:f>'SPL Analysis'!$B$4:$G$4</c:f>
              <c:numCache/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 val="autoZero"/>
        <c:auto val="1"/>
        <c:lblOffset val="100"/>
        <c:tickLblSkip val="1"/>
        <c:noMultiLvlLbl val="0"/>
      </c:catAx>
      <c:valAx>
        <c:axId val="3861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Transmission Loss R (dB)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3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SPL Received in Adjacent Room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071"/>
          <c:w val="0.9085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Analysis'!$B$25:$F$25</c:f>
              <c:numCache/>
            </c:numRef>
          </c:cat>
          <c:val>
            <c:numRef>
              <c:f>'SPL Analysis'!$B$27:$F$27</c:f>
              <c:numCache/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78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SPL Received in Adjacent Room after Performance Room Modifications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1225"/>
          <c:w val="0.896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Analysis'!$B$56:$F$56</c:f>
              <c:numCache/>
            </c:numRef>
          </c:cat>
          <c:val>
            <c:numRef>
              <c:f>'SPL Analysis'!$B$58:$F$58</c:f>
              <c:numCache/>
            </c:numRef>
          </c:val>
          <c:smooth val="0"/>
        </c:ser>
        <c:marker val="1"/>
        <c:axId val="30745673"/>
        <c:axId val="8275602"/>
      </c:lineChart>
      <c:catAx>
        <c:axId val="30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45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SPL Received in Adjacent Room with Double Leaf Partition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079"/>
          <c:w val="0.55375"/>
          <c:h val="0.82025"/>
        </c:manualLayout>
      </c:layout>
      <c:lineChart>
        <c:grouping val="standard"/>
        <c:varyColors val="0"/>
        <c:ser>
          <c:idx val="1"/>
          <c:order val="0"/>
          <c:tx>
            <c:v>Threshold of Audibility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Analysis'!$B$39:$F$39</c:f>
              <c:numCache/>
            </c:numRef>
          </c:cat>
          <c:val>
            <c:numRef>
              <c:f>'SPL Analysis'!$B$32:$F$32</c:f>
              <c:numCache/>
            </c:numRef>
          </c:val>
          <c:smooth val="0"/>
        </c:ser>
        <c:ser>
          <c:idx val="2"/>
          <c:order val="1"/>
          <c:tx>
            <c:v>Maximum Allowed SPL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Analysis'!$B$39:$F$39</c:f>
              <c:numCache/>
            </c:numRef>
          </c:cat>
          <c:val>
            <c:numRef>
              <c:f>'SPL Analysis'!$B$34:$F$34</c:f>
              <c:numCache/>
            </c:numRef>
          </c:val>
          <c:smooth val="0"/>
        </c:ser>
        <c:ser>
          <c:idx val="0"/>
          <c:order val="2"/>
          <c:tx>
            <c:v>SPL Received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.0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Analysis'!$B$39:$F$39</c:f>
              <c:numCache/>
            </c:numRef>
          </c:cat>
          <c:val>
            <c:numRef>
              <c:f>'SPL Analysis'!$B$42:$F$42</c:f>
              <c:numCache/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7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25"/>
          <c:y val="0.43975"/>
          <c:w val="0.3405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SPL Received in Adjacent Room with Double Leaf Partition after Performance Room Modification for Increased RT60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275"/>
          <c:w val="0.55375"/>
          <c:h val="0.772"/>
        </c:manualLayout>
      </c:layout>
      <c:lineChart>
        <c:grouping val="standard"/>
        <c:varyColors val="0"/>
        <c:ser>
          <c:idx val="1"/>
          <c:order val="0"/>
          <c:tx>
            <c:v>Threshold of Audibility</c:v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Analysis'!$B$39:$F$39</c:f>
              <c:numCache/>
            </c:numRef>
          </c:cat>
          <c:val>
            <c:numRef>
              <c:f>'SPL Analysis'!$B$32:$F$32</c:f>
              <c:numCache/>
            </c:numRef>
          </c:val>
          <c:smooth val="0"/>
        </c:ser>
        <c:ser>
          <c:idx val="2"/>
          <c:order val="1"/>
          <c:tx>
            <c:v>Maximum Allowed SPL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Analysis'!$B$39:$F$39</c:f>
              <c:numCache/>
            </c:numRef>
          </c:cat>
          <c:val>
            <c:numRef>
              <c:f>'SPL Analysis'!$B$34:$F$34</c:f>
              <c:numCache/>
            </c:numRef>
          </c:val>
          <c:smooth val="0"/>
        </c:ser>
        <c:ser>
          <c:idx val="0"/>
          <c:order val="2"/>
          <c:tx>
            <c:v>SPL Received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.0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'SPL Analysis'!$B$39:$F$39</c:f>
              <c:numCache/>
            </c:numRef>
          </c:cat>
          <c:val>
            <c:numRef>
              <c:f>'SPL Analysis'!$B$65:$F$65</c:f>
              <c:numCache/>
            </c:numRef>
          </c:val>
          <c:smooth val="0"/>
        </c:ser>
        <c:marker val="1"/>
        <c:axId val="60225053"/>
        <c:axId val="5154566"/>
      </c:lineChart>
      <c:catAx>
        <c:axId val="6022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25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25"/>
          <c:y val="0.4655"/>
          <c:w val="0.3405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47625</xdr:rowOff>
    </xdr:from>
    <xdr:to>
      <xdr:col>7</xdr:col>
      <xdr:colOff>104775</xdr:colOff>
      <xdr:row>64</xdr:row>
      <xdr:rowOff>9525</xdr:rowOff>
    </xdr:to>
    <xdr:graphicFrame>
      <xdr:nvGraphicFramePr>
        <xdr:cNvPr id="1" name="Chart 3"/>
        <xdr:cNvGraphicFramePr/>
      </xdr:nvGraphicFramePr>
      <xdr:xfrm>
        <a:off x="0" y="6800850"/>
        <a:ext cx="5724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57150</xdr:rowOff>
    </xdr:from>
    <xdr:to>
      <xdr:col>7</xdr:col>
      <xdr:colOff>66675</xdr:colOff>
      <xdr:row>87</xdr:row>
      <xdr:rowOff>19050</xdr:rowOff>
    </xdr:to>
    <xdr:graphicFrame>
      <xdr:nvGraphicFramePr>
        <xdr:cNvPr id="2" name="Chart 3"/>
        <xdr:cNvGraphicFramePr/>
      </xdr:nvGraphicFramePr>
      <xdr:xfrm>
        <a:off x="0" y="10534650"/>
        <a:ext cx="56864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0.6715</cdr:x>
      <cdr:y>0.11175</cdr:y>
    </cdr:from>
    <cdr:to>
      <cdr:x>0.929</cdr:x>
      <cdr:y>0.38875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371475"/>
          <a:ext cx="1371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Parameters: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'' = 12.7 kg/m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= 13 cm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0.6715</cdr:x>
      <cdr:y>0.1115</cdr:y>
    </cdr:from>
    <cdr:to>
      <cdr:x>0.929</cdr:x>
      <cdr:y>0.389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371475"/>
          <a:ext cx="1371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Parameters: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'' = 12.7 kg/m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= 13 cm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</xdr:row>
      <xdr:rowOff>161925</xdr:rowOff>
    </xdr:from>
    <xdr:to>
      <xdr:col>18</xdr:col>
      <xdr:colOff>76200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781800" y="352425"/>
        <a:ext cx="5238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25</xdr:row>
      <xdr:rowOff>142875</xdr:rowOff>
    </xdr:from>
    <xdr:to>
      <xdr:col>19</xdr:col>
      <xdr:colOff>285750</xdr:colOff>
      <xdr:row>47</xdr:row>
      <xdr:rowOff>47625</xdr:rowOff>
    </xdr:to>
    <xdr:graphicFrame>
      <xdr:nvGraphicFramePr>
        <xdr:cNvPr id="2" name="Chart 3"/>
        <xdr:cNvGraphicFramePr/>
      </xdr:nvGraphicFramePr>
      <xdr:xfrm>
        <a:off x="7715250" y="4343400"/>
        <a:ext cx="5124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533400</xdr:colOff>
      <xdr:row>50</xdr:row>
      <xdr:rowOff>19050</xdr:rowOff>
    </xdr:from>
    <xdr:to>
      <xdr:col>15</xdr:col>
      <xdr:colOff>28575</xdr:colOff>
      <xdr:row>71</xdr:row>
      <xdr:rowOff>19050</xdr:rowOff>
    </xdr:to>
    <xdr:graphicFrame>
      <xdr:nvGraphicFramePr>
        <xdr:cNvPr id="3" name="Chart 5"/>
        <xdr:cNvGraphicFramePr/>
      </xdr:nvGraphicFramePr>
      <xdr:xfrm>
        <a:off x="5572125" y="8448675"/>
        <a:ext cx="45720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69</xdr:row>
      <xdr:rowOff>57150</xdr:rowOff>
    </xdr:from>
    <xdr:to>
      <xdr:col>7</xdr:col>
      <xdr:colOff>390525</xdr:colOff>
      <xdr:row>90</xdr:row>
      <xdr:rowOff>57150</xdr:rowOff>
    </xdr:to>
    <xdr:graphicFrame>
      <xdr:nvGraphicFramePr>
        <xdr:cNvPr id="4" name="Chart 5"/>
        <xdr:cNvGraphicFramePr/>
      </xdr:nvGraphicFramePr>
      <xdr:xfrm>
        <a:off x="114300" y="11696700"/>
        <a:ext cx="5314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561975</xdr:colOff>
      <xdr:row>70</xdr:row>
      <xdr:rowOff>114300</xdr:rowOff>
    </xdr:from>
    <xdr:to>
      <xdr:col>16</xdr:col>
      <xdr:colOff>190500</xdr:colOff>
      <xdr:row>91</xdr:row>
      <xdr:rowOff>114300</xdr:rowOff>
    </xdr:to>
    <xdr:graphicFrame>
      <xdr:nvGraphicFramePr>
        <xdr:cNvPr id="5" name="Chart 6"/>
        <xdr:cNvGraphicFramePr/>
      </xdr:nvGraphicFramePr>
      <xdr:xfrm>
        <a:off x="5600700" y="11915775"/>
        <a:ext cx="531495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fcafe.com/references/general/density-building-materials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64">
      <selection activeCell="I67" sqref="I67"/>
    </sheetView>
  </sheetViews>
  <sheetFormatPr defaultColWidth="9.140625" defaultRowHeight="12.75"/>
  <cols>
    <col min="1" max="1" width="14.57421875" style="0" customWidth="1"/>
    <col min="2" max="2" width="17.7109375" style="0" customWidth="1"/>
    <col min="3" max="3" width="15.421875" style="0" customWidth="1"/>
    <col min="10" max="10" width="11.00390625" style="0" customWidth="1"/>
    <col min="11" max="11" width="13.28125" style="0" customWidth="1"/>
  </cols>
  <sheetData>
    <row r="1" spans="1:9" ht="15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1"/>
      <c r="C2" s="1" t="s">
        <v>7</v>
      </c>
      <c r="D2" s="16" t="s">
        <v>9</v>
      </c>
      <c r="E2" s="16"/>
      <c r="F2" s="16"/>
      <c r="G2" s="16"/>
      <c r="H2" s="16"/>
      <c r="I2" s="16"/>
    </row>
    <row r="3" spans="4:9" ht="12.75">
      <c r="D3" s="1">
        <v>125</v>
      </c>
      <c r="E3" s="1">
        <v>250</v>
      </c>
      <c r="F3" s="1">
        <v>500</v>
      </c>
      <c r="G3" s="1">
        <v>1000</v>
      </c>
      <c r="H3" s="1">
        <v>2000</v>
      </c>
      <c r="I3" s="1">
        <v>4000</v>
      </c>
    </row>
    <row r="4" spans="3:9" ht="12.75">
      <c r="C4" t="s">
        <v>3</v>
      </c>
      <c r="D4">
        <v>0.15</v>
      </c>
      <c r="E4">
        <v>0.11</v>
      </c>
      <c r="F4">
        <v>0.1</v>
      </c>
      <c r="G4">
        <v>0.07</v>
      </c>
      <c r="H4">
        <v>0.06</v>
      </c>
      <c r="I4">
        <v>0.07</v>
      </c>
    </row>
    <row r="5" spans="3:9" ht="12.75">
      <c r="C5" t="s">
        <v>19</v>
      </c>
      <c r="D5">
        <v>0.1</v>
      </c>
      <c r="E5">
        <v>0.05</v>
      </c>
      <c r="F5">
        <v>0.06</v>
      </c>
      <c r="G5">
        <v>0.06</v>
      </c>
      <c r="H5">
        <v>0.09</v>
      </c>
      <c r="I5">
        <v>0.08</v>
      </c>
    </row>
    <row r="6" spans="3:9" ht="12.75">
      <c r="C6" t="s">
        <v>4</v>
      </c>
      <c r="D6">
        <v>0.36</v>
      </c>
      <c r="E6">
        <v>0.44</v>
      </c>
      <c r="F6">
        <v>0.31</v>
      </c>
      <c r="G6">
        <v>0.29</v>
      </c>
      <c r="H6">
        <v>0.39</v>
      </c>
      <c r="I6">
        <v>0.25</v>
      </c>
    </row>
    <row r="7" spans="3:9" ht="12.75">
      <c r="C7" t="s">
        <v>5</v>
      </c>
      <c r="D7">
        <v>0.35</v>
      </c>
      <c r="E7">
        <v>0.25</v>
      </c>
      <c r="F7">
        <v>0.18</v>
      </c>
      <c r="G7">
        <v>0.12</v>
      </c>
      <c r="H7">
        <v>0.07</v>
      </c>
      <c r="I7">
        <v>0.04</v>
      </c>
    </row>
    <row r="8" spans="3:9" ht="12.75">
      <c r="C8" t="s">
        <v>11</v>
      </c>
      <c r="D8">
        <v>0.13</v>
      </c>
      <c r="E8">
        <v>0.26</v>
      </c>
      <c r="F8">
        <v>0.39</v>
      </c>
      <c r="G8">
        <v>0.46</v>
      </c>
      <c r="H8">
        <v>0.43</v>
      </c>
      <c r="I8">
        <v>0.41</v>
      </c>
    </row>
    <row r="9" spans="3:9" ht="12.75">
      <c r="C9" t="s">
        <v>16</v>
      </c>
      <c r="D9">
        <v>0.27</v>
      </c>
      <c r="E9">
        <v>0.4</v>
      </c>
      <c r="F9">
        <v>0.56</v>
      </c>
      <c r="G9">
        <v>0.65</v>
      </c>
      <c r="H9">
        <v>0.64</v>
      </c>
      <c r="I9">
        <v>0.56</v>
      </c>
    </row>
    <row r="11" spans="1:9" ht="15">
      <c r="A11" s="29" t="s">
        <v>15</v>
      </c>
      <c r="B11" s="29"/>
      <c r="C11" s="29"/>
      <c r="D11" s="29"/>
      <c r="E11" s="29"/>
      <c r="F11" s="29"/>
      <c r="G11" s="29"/>
      <c r="H11" s="29"/>
      <c r="I11" s="29"/>
    </row>
    <row r="12" spans="1:9" ht="12.75">
      <c r="A12" s="1" t="s">
        <v>6</v>
      </c>
      <c r="B12" s="1" t="s">
        <v>7</v>
      </c>
      <c r="C12" s="1" t="s">
        <v>12</v>
      </c>
      <c r="D12" s="16" t="s">
        <v>9</v>
      </c>
      <c r="E12" s="16"/>
      <c r="F12" s="16"/>
      <c r="G12" s="16"/>
      <c r="H12" s="16"/>
      <c r="I12" s="16"/>
    </row>
    <row r="13" spans="4:9" ht="12.75">
      <c r="D13" s="1">
        <v>125</v>
      </c>
      <c r="E13" s="1">
        <v>250</v>
      </c>
      <c r="F13" s="1">
        <v>500</v>
      </c>
      <c r="G13" s="1">
        <v>1000</v>
      </c>
      <c r="H13" s="1">
        <v>2000</v>
      </c>
      <c r="I13" s="1">
        <v>4000</v>
      </c>
    </row>
    <row r="14" spans="1:9" ht="12.75">
      <c r="A14" t="s">
        <v>0</v>
      </c>
      <c r="B14" t="s">
        <v>3</v>
      </c>
      <c r="C14">
        <v>150</v>
      </c>
      <c r="D14">
        <f>SUM(C14*D4)</f>
        <v>22.5</v>
      </c>
      <c r="E14">
        <f>SUM(C14*E4)</f>
        <v>16.5</v>
      </c>
      <c r="F14">
        <f>F4*C14</f>
        <v>15</v>
      </c>
      <c r="G14">
        <f>G4*C14</f>
        <v>10.500000000000002</v>
      </c>
      <c r="H14">
        <f>H4*C14</f>
        <v>9</v>
      </c>
      <c r="I14">
        <f>I4*C14</f>
        <v>10.500000000000002</v>
      </c>
    </row>
    <row r="15" spans="1:9" ht="12.75">
      <c r="A15" t="s">
        <v>22</v>
      </c>
      <c r="B15" t="s">
        <v>4</v>
      </c>
      <c r="C15">
        <v>390</v>
      </c>
      <c r="D15">
        <f>SUM(C15*D6)</f>
        <v>140.4</v>
      </c>
      <c r="E15">
        <f>SUM(C15*E6)</f>
        <v>171.6</v>
      </c>
      <c r="F15">
        <f>F6*C15</f>
        <v>120.9</v>
      </c>
      <c r="G15">
        <f>G6*C15</f>
        <v>113.1</v>
      </c>
      <c r="H15">
        <f>H6*C15</f>
        <v>152.1</v>
      </c>
      <c r="I15">
        <f>I6*C15</f>
        <v>97.5</v>
      </c>
    </row>
    <row r="16" spans="1:9" ht="12.75">
      <c r="A16" t="s">
        <v>13</v>
      </c>
      <c r="B16" t="s">
        <v>5</v>
      </c>
      <c r="C16">
        <v>60</v>
      </c>
      <c r="D16">
        <f>SUM(C16*D7)</f>
        <v>21</v>
      </c>
      <c r="E16">
        <f>SUM(C16*E7)</f>
        <v>15</v>
      </c>
      <c r="F16">
        <f>F7*C16</f>
        <v>10.799999999999999</v>
      </c>
      <c r="G16">
        <f>G7*C16</f>
        <v>7.199999999999999</v>
      </c>
      <c r="H16">
        <f>H7*C16</f>
        <v>4.2</v>
      </c>
      <c r="I16">
        <f>I7*C16</f>
        <v>2.4</v>
      </c>
    </row>
    <row r="17" spans="2:9" ht="12.75">
      <c r="B17" t="s">
        <v>11</v>
      </c>
      <c r="C17">
        <v>50</v>
      </c>
      <c r="D17">
        <f>SUM(C17*D8)</f>
        <v>6.5</v>
      </c>
      <c r="E17">
        <f>SUM(C17*E8)</f>
        <v>13</v>
      </c>
      <c r="F17">
        <f>F8*C17</f>
        <v>19.5</v>
      </c>
      <c r="G17">
        <f>G8*C17</f>
        <v>23</v>
      </c>
      <c r="H17">
        <f>H8*C17</f>
        <v>21.5</v>
      </c>
      <c r="I17">
        <f>I8*C17</f>
        <v>20.5</v>
      </c>
    </row>
    <row r="18" spans="2:9" ht="12.75">
      <c r="B18" t="s">
        <v>16</v>
      </c>
      <c r="C18">
        <v>50</v>
      </c>
      <c r="D18">
        <f>SUM(C18*D9)</f>
        <v>13.5</v>
      </c>
      <c r="E18">
        <f>SUM(C18*E9)</f>
        <v>20</v>
      </c>
      <c r="F18">
        <f>F9*C18</f>
        <v>28.000000000000004</v>
      </c>
      <c r="G18">
        <f>G9*C18</f>
        <v>32.5</v>
      </c>
      <c r="H18">
        <f>H9*C18</f>
        <v>32</v>
      </c>
      <c r="I18">
        <f>I9*C18</f>
        <v>28.000000000000004</v>
      </c>
    </row>
    <row r="20" spans="1:9" ht="12.75">
      <c r="A20" t="s">
        <v>20</v>
      </c>
      <c r="B20" t="s">
        <v>19</v>
      </c>
      <c r="C20" s="2">
        <v>353.7</v>
      </c>
      <c r="D20">
        <f>SUM(C20*D5)</f>
        <v>35.37</v>
      </c>
      <c r="E20">
        <f>SUM(C20*E5)</f>
        <v>17.685</v>
      </c>
      <c r="F20">
        <f>F5*C20</f>
        <v>21.221999999999998</v>
      </c>
      <c r="G20">
        <f>G5*C20</f>
        <v>21.221999999999998</v>
      </c>
      <c r="H20">
        <f>H5*C20</f>
        <v>31.833</v>
      </c>
      <c r="I20">
        <f>I5*C20</f>
        <v>28.296</v>
      </c>
    </row>
    <row r="21" spans="1:9" ht="12.75">
      <c r="A21" t="s">
        <v>23</v>
      </c>
      <c r="B21" t="s">
        <v>24</v>
      </c>
      <c r="C21">
        <f>C15-C20</f>
        <v>36.30000000000001</v>
      </c>
      <c r="D21">
        <f>SUM(C21*D6)</f>
        <v>13.068000000000003</v>
      </c>
      <c r="E21">
        <f>SUM(C21*E6)</f>
        <v>15.972000000000005</v>
      </c>
      <c r="F21">
        <f>F6*C21</f>
        <v>11.253000000000004</v>
      </c>
      <c r="G21">
        <f>G6*C21</f>
        <v>10.527000000000003</v>
      </c>
      <c r="H21">
        <f>H6*C21</f>
        <v>14.157000000000005</v>
      </c>
      <c r="I21">
        <f>I6*C21</f>
        <v>9.075000000000003</v>
      </c>
    </row>
    <row r="23" spans="1:9" ht="15">
      <c r="A23" s="29" t="s">
        <v>71</v>
      </c>
      <c r="B23" s="29"/>
      <c r="C23" s="29"/>
      <c r="D23" s="29"/>
      <c r="E23" s="29"/>
      <c r="F23" s="29"/>
      <c r="G23" s="29"/>
      <c r="H23" s="29"/>
      <c r="I23" s="29"/>
    </row>
    <row r="24" spans="1:9" ht="12.75">
      <c r="A24" s="16" t="s">
        <v>70</v>
      </c>
      <c r="B24" s="16"/>
      <c r="C24" s="16"/>
      <c r="D24" s="16" t="s">
        <v>9</v>
      </c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">
        <v>125</v>
      </c>
      <c r="E25" s="1">
        <v>250</v>
      </c>
      <c r="F25" s="1">
        <v>500</v>
      </c>
      <c r="G25" s="1">
        <v>1000</v>
      </c>
      <c r="H25" s="1">
        <v>2000</v>
      </c>
      <c r="I25" s="1">
        <v>4000</v>
      </c>
    </row>
    <row r="26" spans="1:9" ht="12.75">
      <c r="A26" s="21" t="s">
        <v>17</v>
      </c>
      <c r="B26" s="21"/>
      <c r="C26" s="21"/>
      <c r="D26" s="22">
        <f aca="true" t="shared" si="0" ref="D26:I26">SUM(D14:D17)</f>
        <v>190.4</v>
      </c>
      <c r="E26" s="22">
        <f t="shared" si="0"/>
        <v>216.1</v>
      </c>
      <c r="F26" s="22">
        <f t="shared" si="0"/>
        <v>166.20000000000002</v>
      </c>
      <c r="G26" s="22">
        <f t="shared" si="0"/>
        <v>153.79999999999998</v>
      </c>
      <c r="H26" s="22">
        <f t="shared" si="0"/>
        <v>186.79999999999998</v>
      </c>
      <c r="I26" s="22">
        <f t="shared" si="0"/>
        <v>130.9</v>
      </c>
    </row>
    <row r="27" spans="1:9" ht="12.75">
      <c r="A27" s="21" t="s">
        <v>25</v>
      </c>
      <c r="B27" s="21"/>
      <c r="C27" s="21"/>
      <c r="D27" s="22">
        <f aca="true" t="shared" si="1" ref="D27:I27">D26+8</f>
        <v>198.4</v>
      </c>
      <c r="E27" s="22">
        <f t="shared" si="1"/>
        <v>224.1</v>
      </c>
      <c r="F27" s="22">
        <f t="shared" si="1"/>
        <v>174.20000000000002</v>
      </c>
      <c r="G27" s="22">
        <f t="shared" si="1"/>
        <v>161.79999999999998</v>
      </c>
      <c r="H27" s="22">
        <f t="shared" si="1"/>
        <v>194.79999999999998</v>
      </c>
      <c r="I27" s="22">
        <f t="shared" si="1"/>
        <v>138.9</v>
      </c>
    </row>
    <row r="28" spans="1:9" ht="12.75">
      <c r="A28" s="21" t="s">
        <v>18</v>
      </c>
      <c r="B28" s="21"/>
      <c r="C28" s="21"/>
      <c r="D28" s="22">
        <f aca="true" t="shared" si="2" ref="D28:I28">SUM(D14:D16,D18)</f>
        <v>197.4</v>
      </c>
      <c r="E28" s="22">
        <f t="shared" si="2"/>
        <v>223.1</v>
      </c>
      <c r="F28" s="22">
        <f t="shared" si="2"/>
        <v>174.70000000000002</v>
      </c>
      <c r="G28" s="22">
        <f t="shared" si="2"/>
        <v>163.29999999999998</v>
      </c>
      <c r="H28" s="22">
        <f t="shared" si="2"/>
        <v>197.29999999999998</v>
      </c>
      <c r="I28" s="22">
        <f t="shared" si="2"/>
        <v>138.4</v>
      </c>
    </row>
    <row r="29" spans="1:9" ht="12.75">
      <c r="A29" s="21" t="s">
        <v>21</v>
      </c>
      <c r="B29" s="21"/>
      <c r="C29" s="21"/>
      <c r="D29" s="22">
        <f>SUM(D14,D16,D18,D20:D21)</f>
        <v>105.438</v>
      </c>
      <c r="E29" s="22">
        <f>SUM(E14,E16,E18,E20:E21)</f>
        <v>85.15700000000001</v>
      </c>
      <c r="F29" s="22">
        <f>SUM(F14,F16,F18,F20:F21)</f>
        <v>86.27499999999999</v>
      </c>
      <c r="G29" s="22">
        <f>SUM(G14,G16,G18,G20:G21)</f>
        <v>81.949</v>
      </c>
      <c r="H29" s="22">
        <f>SUM(H14,H16,H18,H20:H21)</f>
        <v>91.19000000000001</v>
      </c>
      <c r="I29" s="22">
        <f>SUM(I14,I16,I18,I20:I21)</f>
        <v>78.271</v>
      </c>
    </row>
    <row r="30" spans="1:9" ht="12.75">
      <c r="A30" s="1"/>
      <c r="D30" s="3"/>
      <c r="E30" s="3"/>
      <c r="F30" s="3"/>
      <c r="G30" s="3"/>
      <c r="H30" s="3"/>
      <c r="I30" s="3"/>
    </row>
    <row r="31" spans="1:9" ht="12.75">
      <c r="A31" s="11" t="s">
        <v>33</v>
      </c>
      <c r="B31" s="12">
        <v>900</v>
      </c>
      <c r="D31" s="4"/>
      <c r="E31" s="4"/>
      <c r="F31" s="4"/>
      <c r="G31" s="4"/>
      <c r="H31" s="4"/>
      <c r="I31" s="4"/>
    </row>
    <row r="32" spans="1:9" ht="12.75">
      <c r="A32" s="11"/>
      <c r="B32" s="12"/>
      <c r="D32" s="4"/>
      <c r="E32" s="4"/>
      <c r="F32" s="4"/>
      <c r="G32" s="4"/>
      <c r="H32" s="4"/>
      <c r="I32" s="4"/>
    </row>
    <row r="33" spans="1:9" ht="15">
      <c r="A33" s="29" t="s">
        <v>64</v>
      </c>
      <c r="B33" s="29"/>
      <c r="C33" s="29"/>
      <c r="D33" s="29"/>
      <c r="E33" s="29"/>
      <c r="F33" s="29"/>
      <c r="G33" s="29"/>
      <c r="H33" s="29"/>
      <c r="I33" s="29"/>
    </row>
    <row r="34" spans="1:9" s="9" customFormat="1" ht="12.75">
      <c r="A34" s="16" t="s">
        <v>70</v>
      </c>
      <c r="B34" s="16"/>
      <c r="C34" s="16"/>
      <c r="D34" s="16" t="s">
        <v>9</v>
      </c>
      <c r="E34" s="16"/>
      <c r="F34" s="16"/>
      <c r="G34" s="16"/>
      <c r="H34" s="16"/>
      <c r="I34" s="16"/>
    </row>
    <row r="35" spans="1:9" s="9" customFormat="1" ht="12.75">
      <c r="A35" s="16"/>
      <c r="B35" s="16"/>
      <c r="C35" s="16"/>
      <c r="D35" s="1">
        <v>125</v>
      </c>
      <c r="E35" s="1">
        <v>250</v>
      </c>
      <c r="F35" s="1">
        <v>500</v>
      </c>
      <c r="G35" s="1">
        <v>1000</v>
      </c>
      <c r="H35" s="1">
        <v>2000</v>
      </c>
      <c r="I35" s="1">
        <v>4000</v>
      </c>
    </row>
    <row r="36" spans="1:9" ht="12.75">
      <c r="A36" s="27" t="s">
        <v>57</v>
      </c>
      <c r="B36" s="27"/>
      <c r="C36" s="27"/>
      <c r="D36" s="28">
        <f aca="true" t="shared" si="3" ref="D36:I39">0.163*(900/D26)</f>
        <v>0.770483193277311</v>
      </c>
      <c r="E36" s="28">
        <f t="shared" si="3"/>
        <v>0.6788523831559464</v>
      </c>
      <c r="F36" s="28">
        <f t="shared" si="3"/>
        <v>0.8826714801444043</v>
      </c>
      <c r="G36" s="28">
        <f t="shared" si="3"/>
        <v>0.9538361508452537</v>
      </c>
      <c r="H36" s="28">
        <f t="shared" si="3"/>
        <v>0.7853319057815847</v>
      </c>
      <c r="I36" s="28">
        <f t="shared" si="3"/>
        <v>1.1207028265851795</v>
      </c>
    </row>
    <row r="37" spans="1:9" ht="12.75">
      <c r="A37" s="27" t="s">
        <v>56</v>
      </c>
      <c r="B37" s="27"/>
      <c r="C37" s="27"/>
      <c r="D37" s="28">
        <f t="shared" si="3"/>
        <v>0.7394153225806451</v>
      </c>
      <c r="E37" s="28">
        <f t="shared" si="3"/>
        <v>0.6546184738955824</v>
      </c>
      <c r="F37" s="28">
        <f t="shared" si="3"/>
        <v>0.8421354764638346</v>
      </c>
      <c r="G37" s="28">
        <f t="shared" si="3"/>
        <v>0.9066749072929543</v>
      </c>
      <c r="H37" s="28">
        <f t="shared" si="3"/>
        <v>0.7530800821355237</v>
      </c>
      <c r="I37" s="28">
        <f t="shared" si="3"/>
        <v>1.0561555075593954</v>
      </c>
    </row>
    <row r="38" spans="1:9" ht="12.75">
      <c r="A38" s="27" t="s">
        <v>59</v>
      </c>
      <c r="B38" s="27"/>
      <c r="C38" s="27"/>
      <c r="D38" s="28">
        <f t="shared" si="3"/>
        <v>0.743161094224924</v>
      </c>
      <c r="E38" s="28">
        <f t="shared" si="3"/>
        <v>0.6575526669654864</v>
      </c>
      <c r="F38" s="28">
        <f t="shared" si="3"/>
        <v>0.8397252432741842</v>
      </c>
      <c r="G38" s="28">
        <f t="shared" si="3"/>
        <v>0.8983466013472138</v>
      </c>
      <c r="H38" s="28">
        <f t="shared" si="3"/>
        <v>0.7435377597567158</v>
      </c>
      <c r="I38" s="28">
        <f t="shared" si="3"/>
        <v>1.0599710982658959</v>
      </c>
    </row>
    <row r="39" spans="1:9" ht="12.75">
      <c r="A39" s="27" t="s">
        <v>60</v>
      </c>
      <c r="B39" s="27"/>
      <c r="C39" s="27"/>
      <c r="D39" s="28">
        <f t="shared" si="3"/>
        <v>1.3913389859443466</v>
      </c>
      <c r="E39" s="28">
        <f t="shared" si="3"/>
        <v>1.7227004239228718</v>
      </c>
      <c r="F39" s="20">
        <f t="shared" si="3"/>
        <v>1.7003767024051002</v>
      </c>
      <c r="G39" s="28">
        <f t="shared" si="3"/>
        <v>1.7901377686121858</v>
      </c>
      <c r="H39" s="28">
        <f t="shared" si="3"/>
        <v>1.6087290273056254</v>
      </c>
      <c r="I39" s="28">
        <f t="shared" si="3"/>
        <v>1.8742573877936912</v>
      </c>
    </row>
  </sheetData>
  <sheetProtection/>
  <mergeCells count="18">
    <mergeCell ref="A38:C38"/>
    <mergeCell ref="A39:C39"/>
    <mergeCell ref="A26:C26"/>
    <mergeCell ref="A27:C27"/>
    <mergeCell ref="A28:C28"/>
    <mergeCell ref="A29:C29"/>
    <mergeCell ref="A33:I33"/>
    <mergeCell ref="D34:I34"/>
    <mergeCell ref="A34:C35"/>
    <mergeCell ref="D2:I2"/>
    <mergeCell ref="D12:I12"/>
    <mergeCell ref="A11:I11"/>
    <mergeCell ref="A1:I1"/>
    <mergeCell ref="A36:C36"/>
    <mergeCell ref="A37:C37"/>
    <mergeCell ref="A23:I23"/>
    <mergeCell ref="A24:C25"/>
    <mergeCell ref="D24:I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Q70" sqref="Q70"/>
    </sheetView>
  </sheetViews>
  <sheetFormatPr defaultColWidth="9.140625" defaultRowHeight="12.75"/>
  <cols>
    <col min="1" max="1" width="14.7109375" style="0" customWidth="1"/>
    <col min="2" max="10" width="10.140625" style="0" customWidth="1"/>
  </cols>
  <sheetData>
    <row r="1" spans="1:10" ht="15">
      <c r="A1" s="29" t="s">
        <v>58</v>
      </c>
      <c r="B1" s="29"/>
      <c r="C1" s="29"/>
      <c r="D1" s="29"/>
      <c r="E1" s="29"/>
      <c r="F1" s="29"/>
      <c r="G1" s="29"/>
      <c r="I1" s="10" t="s">
        <v>28</v>
      </c>
      <c r="J1" s="12">
        <v>300</v>
      </c>
    </row>
    <row r="2" spans="1:10" s="6" customFormat="1" ht="15.75">
      <c r="A2" s="5"/>
      <c r="B2" s="19" t="s">
        <v>9</v>
      </c>
      <c r="C2" s="19"/>
      <c r="D2" s="19"/>
      <c r="E2" s="19"/>
      <c r="F2" s="19"/>
      <c r="G2" s="19"/>
      <c r="I2" s="11" t="s">
        <v>29</v>
      </c>
      <c r="J2" s="13">
        <v>100</v>
      </c>
    </row>
    <row r="3" spans="2:10" ht="12.75">
      <c r="B3">
        <v>125</v>
      </c>
      <c r="C3">
        <v>250</v>
      </c>
      <c r="D3">
        <v>500</v>
      </c>
      <c r="E3">
        <v>1000</v>
      </c>
      <c r="F3">
        <v>2000</v>
      </c>
      <c r="G3">
        <v>4000</v>
      </c>
      <c r="I3" s="11" t="s">
        <v>31</v>
      </c>
      <c r="J3" s="12">
        <v>407</v>
      </c>
    </row>
    <row r="4" spans="1:10" ht="12.75">
      <c r="A4" s="23" t="s">
        <v>65</v>
      </c>
      <c r="B4" s="24">
        <f>10*(LOG10(m*B3/(2*rhoc)))^2+5*LOG(B3/fcr)+10*LOG(2*n)</f>
        <v>21.164073935062888</v>
      </c>
      <c r="C4" s="24">
        <f>10*(LOG(m*C3/(2*rhoc)))^2+5*LOG(C3/fcr)+10*LOG(2*n)</f>
        <v>33.59012171043166</v>
      </c>
      <c r="D4" s="24">
        <f>10*(LOG(m*D3/(2*rhoc)))^2+5*LOG(D3/fcr)+10*LOG(2*n)</f>
        <v>47.82855065158959</v>
      </c>
      <c r="E4" s="24">
        <f>10*(LOG(m*E3/(2*rhoc)))^2+5*LOG(E3/fcr)+10*LOG(2*n)</f>
        <v>63.879360758536606</v>
      </c>
      <c r="F4" s="24">
        <f>10*(LOG(m*F3/(2*rhoc)))^2+5*LOG(F3/fcr)+10*LOG(2*n)</f>
        <v>81.7425520312728</v>
      </c>
      <c r="G4" s="24">
        <f>10*(LOG(m*G3/(2*rhoc)))^2+5*LOG(G3/fcr)+10*LOG(2*n)</f>
        <v>101.4181244697981</v>
      </c>
      <c r="I4" s="11" t="s">
        <v>30</v>
      </c>
      <c r="J4" s="12">
        <v>0.1</v>
      </c>
    </row>
    <row r="6" spans="1:9" ht="15">
      <c r="A6" s="29" t="s">
        <v>67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1" t="s">
        <v>7</v>
      </c>
      <c r="D7" s="16" t="s">
        <v>9</v>
      </c>
      <c r="E7" s="16"/>
      <c r="F7" s="16"/>
      <c r="G7" s="16"/>
      <c r="H7" s="16"/>
      <c r="I7" s="16"/>
    </row>
    <row r="8" spans="4:9" ht="12.75">
      <c r="D8" s="1">
        <v>125</v>
      </c>
      <c r="E8" s="1">
        <v>250</v>
      </c>
      <c r="F8" s="1">
        <v>500</v>
      </c>
      <c r="G8" s="1">
        <v>1000</v>
      </c>
      <c r="H8" s="1">
        <v>2000</v>
      </c>
      <c r="I8" s="1">
        <v>4000</v>
      </c>
    </row>
    <row r="9" spans="1:9" ht="12.75">
      <c r="A9" t="s">
        <v>26</v>
      </c>
      <c r="D9">
        <v>0.02</v>
      </c>
      <c r="E9">
        <v>0.06</v>
      </c>
      <c r="F9">
        <v>0.14</v>
      </c>
      <c r="G9">
        <v>0.37</v>
      </c>
      <c r="H9">
        <v>0.6</v>
      </c>
      <c r="I9">
        <v>0.65</v>
      </c>
    </row>
    <row r="10" spans="1:9" ht="12.75">
      <c r="A10" t="s">
        <v>19</v>
      </c>
      <c r="D10">
        <v>0.1</v>
      </c>
      <c r="E10">
        <v>0.05</v>
      </c>
      <c r="F10">
        <v>0.06</v>
      </c>
      <c r="G10">
        <v>0.06</v>
      </c>
      <c r="H10">
        <v>0.09</v>
      </c>
      <c r="I10">
        <v>0.08</v>
      </c>
    </row>
    <row r="11" spans="1:9" ht="12.75">
      <c r="A11" t="s">
        <v>27</v>
      </c>
      <c r="D11">
        <v>0.29</v>
      </c>
      <c r="E11">
        <v>0.1</v>
      </c>
      <c r="F11">
        <v>0.05</v>
      </c>
      <c r="G11">
        <v>0.04</v>
      </c>
      <c r="H11">
        <v>0.07</v>
      </c>
      <c r="I11">
        <v>0.09</v>
      </c>
    </row>
    <row r="13" spans="1:9" ht="15">
      <c r="A13" s="29" t="s">
        <v>66</v>
      </c>
      <c r="B13" s="29"/>
      <c r="C13" s="29"/>
      <c r="D13" s="29"/>
      <c r="E13" s="29"/>
      <c r="F13" s="29"/>
      <c r="G13" s="29"/>
      <c r="H13" s="29"/>
      <c r="I13" s="29"/>
    </row>
    <row r="14" spans="1:9" ht="12.75">
      <c r="A14" s="1" t="s">
        <v>6</v>
      </c>
      <c r="B14" s="1" t="s">
        <v>7</v>
      </c>
      <c r="C14" s="1" t="s">
        <v>8</v>
      </c>
      <c r="D14" s="16" t="s">
        <v>9</v>
      </c>
      <c r="E14" s="16"/>
      <c r="F14" s="16"/>
      <c r="G14" s="16"/>
      <c r="H14" s="16"/>
      <c r="I14" s="16"/>
    </row>
    <row r="15" spans="4:9" ht="12.75">
      <c r="D15" s="1">
        <v>125</v>
      </c>
      <c r="E15" s="1">
        <v>250</v>
      </c>
      <c r="F15" s="1">
        <v>500</v>
      </c>
      <c r="G15" s="1">
        <v>1000</v>
      </c>
      <c r="H15" s="1">
        <v>2000</v>
      </c>
      <c r="I15" s="1">
        <v>4000</v>
      </c>
    </row>
    <row r="16" spans="1:9" ht="12.75">
      <c r="A16" t="s">
        <v>0</v>
      </c>
      <c r="B16" t="s">
        <v>26</v>
      </c>
      <c r="C16">
        <v>40</v>
      </c>
      <c r="D16">
        <f>SUM(C16*D9)</f>
        <v>0.8</v>
      </c>
      <c r="E16">
        <f>C16*E9</f>
        <v>2.4</v>
      </c>
      <c r="F16">
        <f>C16*F9</f>
        <v>5.6000000000000005</v>
      </c>
      <c r="G16">
        <f>C16*G9</f>
        <v>14.8</v>
      </c>
      <c r="H16">
        <f>C16*H9</f>
        <v>24</v>
      </c>
      <c r="I16">
        <f>I9*C16</f>
        <v>26</v>
      </c>
    </row>
    <row r="17" spans="1:9" ht="12.75">
      <c r="A17" t="s">
        <v>2</v>
      </c>
      <c r="B17" t="s">
        <v>19</v>
      </c>
      <c r="C17">
        <f>26*6</f>
        <v>156</v>
      </c>
      <c r="D17">
        <f>SUM(C17*D10)</f>
        <v>15.600000000000001</v>
      </c>
      <c r="E17">
        <f>C17*E10</f>
        <v>7.800000000000001</v>
      </c>
      <c r="F17">
        <f>C17*F10</f>
        <v>9.36</v>
      </c>
      <c r="G17">
        <f>C17*G10</f>
        <v>9.36</v>
      </c>
      <c r="H17">
        <f>C17*H10</f>
        <v>14.04</v>
      </c>
      <c r="I17">
        <f>I10*C17</f>
        <v>12.48</v>
      </c>
    </row>
    <row r="18" spans="1:9" ht="12.75">
      <c r="A18" t="s">
        <v>1</v>
      </c>
      <c r="B18" t="s">
        <v>27</v>
      </c>
      <c r="C18">
        <v>40</v>
      </c>
      <c r="D18">
        <f>SUM(C18*D11)</f>
        <v>11.6</v>
      </c>
      <c r="E18">
        <f>C18*E11</f>
        <v>4</v>
      </c>
      <c r="F18">
        <f>C18*F11</f>
        <v>2</v>
      </c>
      <c r="G18">
        <f>C18*G11</f>
        <v>1.6</v>
      </c>
      <c r="H18">
        <f>C18*H11</f>
        <v>2.8000000000000003</v>
      </c>
      <c r="I18">
        <f>I11*C18</f>
        <v>3.5999999999999996</v>
      </c>
    </row>
    <row r="20" spans="1:9" ht="12.75">
      <c r="A20" s="17" t="s">
        <v>10</v>
      </c>
      <c r="B20" s="17"/>
      <c r="C20" s="17"/>
      <c r="D20" s="3">
        <f aca="true" t="shared" si="0" ref="D20:I20">SUM(D16:D18)</f>
        <v>28</v>
      </c>
      <c r="E20" s="3">
        <f t="shared" si="0"/>
        <v>14.200000000000001</v>
      </c>
      <c r="F20" s="3">
        <f t="shared" si="0"/>
        <v>16.96</v>
      </c>
      <c r="G20" s="3">
        <f t="shared" si="0"/>
        <v>25.76</v>
      </c>
      <c r="H20" s="3">
        <f t="shared" si="0"/>
        <v>40.839999999999996</v>
      </c>
      <c r="I20" s="3">
        <f t="shared" si="0"/>
        <v>42.080000000000005</v>
      </c>
    </row>
    <row r="21" spans="1:9" ht="12.75">
      <c r="A21" s="7" t="s">
        <v>53</v>
      </c>
      <c r="B21" s="7"/>
      <c r="C21" s="7"/>
      <c r="D21" s="3">
        <f aca="true" t="shared" si="1" ref="D21:I21">40*D9+108*D10+98*D11</f>
        <v>40.019999999999996</v>
      </c>
      <c r="E21" s="3">
        <f t="shared" si="1"/>
        <v>17.6</v>
      </c>
      <c r="F21" s="3">
        <f t="shared" si="1"/>
        <v>16.98</v>
      </c>
      <c r="G21" s="3">
        <f t="shared" si="1"/>
        <v>25.200000000000003</v>
      </c>
      <c r="H21" s="3">
        <f t="shared" si="1"/>
        <v>40.58</v>
      </c>
      <c r="I21" s="3">
        <f t="shared" si="1"/>
        <v>43.46</v>
      </c>
    </row>
    <row r="23" spans="1:11" ht="15">
      <c r="A23" s="29" t="s">
        <v>55</v>
      </c>
      <c r="B23" s="29"/>
      <c r="C23" s="29"/>
      <c r="D23" s="29"/>
      <c r="E23" s="29"/>
      <c r="F23" s="29"/>
      <c r="G23" s="29"/>
      <c r="I23" s="11" t="s">
        <v>32</v>
      </c>
      <c r="J23" s="12">
        <v>48</v>
      </c>
      <c r="K23" s="9" t="s">
        <v>40</v>
      </c>
    </row>
    <row r="24" spans="1:7" ht="12.75">
      <c r="A24" s="5"/>
      <c r="B24" s="16" t="s">
        <v>9</v>
      </c>
      <c r="C24" s="16"/>
      <c r="D24" s="16"/>
      <c r="E24" s="16"/>
      <c r="F24" s="16"/>
      <c r="G24" s="16"/>
    </row>
    <row r="25" spans="2:7" ht="12.75">
      <c r="B25" s="1">
        <v>125</v>
      </c>
      <c r="C25" s="1">
        <v>250</v>
      </c>
      <c r="D25" s="1">
        <v>500</v>
      </c>
      <c r="E25" s="1">
        <v>1000</v>
      </c>
      <c r="F25" s="1">
        <v>2000</v>
      </c>
      <c r="G25" s="1"/>
    </row>
    <row r="26" spans="1:6" ht="12.75">
      <c r="A26" s="9" t="s">
        <v>52</v>
      </c>
      <c r="B26">
        <v>75</v>
      </c>
      <c r="C26">
        <v>80</v>
      </c>
      <c r="D26">
        <v>82</v>
      </c>
      <c r="E26">
        <v>76</v>
      </c>
      <c r="F26">
        <v>70</v>
      </c>
    </row>
    <row r="27" spans="1:8" ht="12.75">
      <c r="A27" s="23" t="s">
        <v>69</v>
      </c>
      <c r="B27" s="24">
        <f>B26-10*LOG(D20/s)-B4</f>
        <v>56.176758125270794</v>
      </c>
      <c r="C27" s="24">
        <f>C26-10*LOG(E20/s)-C4</f>
        <v>51.69940721949365</v>
      </c>
      <c r="D27" s="24">
        <f>D26-10*LOG(F20/s)-D4</f>
        <v>38.68960324295933</v>
      </c>
      <c r="E27" s="24">
        <f>E26-10*LOG(G20/s)-E4</f>
        <v>14.82359302834152</v>
      </c>
      <c r="F27" s="24">
        <f>F26-10*LOG(H20/s)-F4</f>
        <v>-11.04099699166565</v>
      </c>
      <c r="H27" s="9" t="s">
        <v>73</v>
      </c>
    </row>
    <row r="29" spans="1:7" ht="15">
      <c r="A29" s="29" t="s">
        <v>68</v>
      </c>
      <c r="B29" s="29"/>
      <c r="C29" s="29"/>
      <c r="D29" s="29"/>
      <c r="E29" s="29"/>
      <c r="F29" s="29"/>
      <c r="G29" s="29"/>
    </row>
    <row r="30" spans="1:7" ht="12.75">
      <c r="A30" s="5"/>
      <c r="B30" s="16" t="s">
        <v>9</v>
      </c>
      <c r="C30" s="16"/>
      <c r="D30" s="16"/>
      <c r="E30" s="16"/>
      <c r="F30" s="16"/>
      <c r="G30" s="16"/>
    </row>
    <row r="31" spans="2:9" ht="12.75">
      <c r="B31" s="1">
        <v>125</v>
      </c>
      <c r="C31" s="1">
        <v>250</v>
      </c>
      <c r="D31" s="1">
        <v>500</v>
      </c>
      <c r="E31" s="1">
        <v>1000</v>
      </c>
      <c r="F31" s="1">
        <v>2000</v>
      </c>
      <c r="G31" s="1"/>
      <c r="H31" s="9" t="s">
        <v>74</v>
      </c>
      <c r="I31" s="9">
        <v>20</v>
      </c>
    </row>
    <row r="32" spans="1:6" ht="12.75">
      <c r="A32" s="9" t="s">
        <v>80</v>
      </c>
      <c r="B32" s="30">
        <v>21</v>
      </c>
      <c r="C32" s="30">
        <v>12</v>
      </c>
      <c r="D32" s="30">
        <v>5</v>
      </c>
      <c r="E32" s="30">
        <v>3</v>
      </c>
      <c r="F32" s="30">
        <v>0</v>
      </c>
    </row>
    <row r="33" spans="1:6" ht="12.75">
      <c r="A33" s="9" t="s">
        <v>79</v>
      </c>
      <c r="B33" s="30">
        <v>20</v>
      </c>
      <c r="C33" s="30">
        <v>20</v>
      </c>
      <c r="D33" s="30">
        <v>20</v>
      </c>
      <c r="E33" s="30">
        <v>20</v>
      </c>
      <c r="F33" s="30">
        <v>20</v>
      </c>
    </row>
    <row r="34" spans="1:6" ht="12.75">
      <c r="A34" s="9" t="s">
        <v>77</v>
      </c>
      <c r="B34" s="30">
        <f>B32+B33</f>
        <v>41</v>
      </c>
      <c r="C34" s="30">
        <f>C32+C33</f>
        <v>32</v>
      </c>
      <c r="D34" s="30">
        <f>D32+D33</f>
        <v>25</v>
      </c>
      <c r="E34" s="30">
        <f>E32+E33</f>
        <v>23</v>
      </c>
      <c r="F34" s="30">
        <f>F32+F33</f>
        <v>20</v>
      </c>
    </row>
    <row r="35" spans="1:6" ht="12.75">
      <c r="A35" s="9" t="s">
        <v>78</v>
      </c>
      <c r="B35" s="8">
        <f>MAX(B27-B32-20,0)</f>
        <v>15.176758125270794</v>
      </c>
      <c r="C35" s="31">
        <f>MAX(C27-C32-20,0)</f>
        <v>19.69940721949365</v>
      </c>
      <c r="D35" s="31">
        <f>MAX(D27-D32-20,0)</f>
        <v>13.689603242959329</v>
      </c>
      <c r="E35" s="31">
        <f>MAX(E27-E32-20,0)</f>
        <v>0</v>
      </c>
      <c r="F35" s="31">
        <f>MAX(F27-F32-20,0)</f>
        <v>0</v>
      </c>
    </row>
    <row r="36" ht="12.75">
      <c r="H36" s="14" t="s">
        <v>43</v>
      </c>
    </row>
    <row r="37" spans="1:11" ht="16.5">
      <c r="A37" s="29" t="s">
        <v>54</v>
      </c>
      <c r="B37" s="29"/>
      <c r="C37" s="29"/>
      <c r="D37" s="29"/>
      <c r="E37" s="29"/>
      <c r="F37" s="29"/>
      <c r="G37" s="29"/>
      <c r="H37" s="18" t="s">
        <v>45</v>
      </c>
      <c r="I37" s="18"/>
      <c r="J37" s="15">
        <v>12.7</v>
      </c>
      <c r="K37" s="9" t="s">
        <v>37</v>
      </c>
    </row>
    <row r="38" spans="2:11" ht="12.75">
      <c r="B38" s="16" t="s">
        <v>9</v>
      </c>
      <c r="C38" s="16"/>
      <c r="D38" s="16"/>
      <c r="E38" s="16"/>
      <c r="F38" s="16"/>
      <c r="G38" s="16"/>
      <c r="H38" s="18" t="s">
        <v>72</v>
      </c>
      <c r="I38" s="18"/>
      <c r="J38" s="15">
        <v>0.13</v>
      </c>
      <c r="K38" s="9" t="s">
        <v>36</v>
      </c>
    </row>
    <row r="39" spans="2:10" ht="12.75">
      <c r="B39" s="1">
        <v>125</v>
      </c>
      <c r="C39" s="1">
        <v>250</v>
      </c>
      <c r="D39" s="1">
        <v>500</v>
      </c>
      <c r="E39" s="1">
        <v>1000</v>
      </c>
      <c r="F39" s="1">
        <v>2000</v>
      </c>
      <c r="G39" s="1"/>
      <c r="H39" s="18" t="s">
        <v>34</v>
      </c>
      <c r="I39" s="18"/>
      <c r="J39">
        <f>1.18*345^2/d</f>
        <v>1080380.7692307692</v>
      </c>
    </row>
    <row r="40" spans="1:11" ht="15.75">
      <c r="A40" s="9" t="s">
        <v>39</v>
      </c>
      <c r="B40" s="8">
        <f>10*LOG((1-((B39*2*PI())^2/w0))^2)</f>
        <v>15.919192588490858</v>
      </c>
      <c r="C40" s="32">
        <f>10*LOG((1-((C39*2*PI())^2/w0))^2)</f>
        <v>28.944582285098853</v>
      </c>
      <c r="D40" s="32">
        <f>10*LOG((1-((D39*2*PI())^2/w0))^2)</f>
        <v>41.21534138154538</v>
      </c>
      <c r="E40" s="32">
        <f>10*LOG((1-((E39*2*PI())^2/w0))^2)</f>
        <v>53.31299542421769</v>
      </c>
      <c r="F40" s="32">
        <f>10*LOG((1-((F39*2*PI())^2/w0))^2)</f>
        <v>65.36825165835953</v>
      </c>
      <c r="H40" s="18" t="s">
        <v>35</v>
      </c>
      <c r="I40" s="18"/>
      <c r="J40">
        <f>ss/mm</f>
        <v>85069.35190793459</v>
      </c>
      <c r="K40" s="9" t="s">
        <v>41</v>
      </c>
    </row>
    <row r="41" spans="1:11" ht="15.75">
      <c r="A41" s="9" t="s">
        <v>44</v>
      </c>
      <c r="B41" s="32">
        <f>B4+B40</f>
        <v>37.083266523553746</v>
      </c>
      <c r="C41" s="32">
        <f>C4+C40</f>
        <v>62.53470399553051</v>
      </c>
      <c r="D41" s="32">
        <f>D4+D40</f>
        <v>89.04389203313497</v>
      </c>
      <c r="E41" s="32">
        <f>E4+E40</f>
        <v>117.1923561827543</v>
      </c>
      <c r="F41" s="32">
        <f>F4+F40</f>
        <v>147.11080368963232</v>
      </c>
      <c r="H41" s="18" t="s">
        <v>38</v>
      </c>
      <c r="I41" s="18"/>
      <c r="J41">
        <f>SQRT(w0)/2/PI()</f>
        <v>46.42016648774134</v>
      </c>
      <c r="K41" s="9" t="s">
        <v>42</v>
      </c>
    </row>
    <row r="42" spans="1:11" ht="12.75">
      <c r="A42" s="23" t="s">
        <v>75</v>
      </c>
      <c r="B42" s="24">
        <f>B26-10*LOG(D21/s)-B41</f>
        <v>38.706375007200194</v>
      </c>
      <c r="C42" s="24">
        <f>C26-10*LOG(E21/s)-C41</f>
        <v>21.822581700083866</v>
      </c>
      <c r="D42" s="24">
        <f>D26-10*LOG(F21/s)-D41</f>
        <v>-2.5308565184584353</v>
      </c>
      <c r="E42" s="24">
        <f>E26-10*LOG(G21/s)-E41</f>
        <v>-38.393949216813866</v>
      </c>
      <c r="F42" s="24">
        <f>F26-10*LOG(H21/s)-F41</f>
        <v>-76.38151174284972</v>
      </c>
      <c r="H42" s="11"/>
      <c r="I42" s="11"/>
      <c r="K42" s="9"/>
    </row>
    <row r="43" spans="1:6" ht="12.75">
      <c r="A43" s="9" t="s">
        <v>76</v>
      </c>
      <c r="B43" s="32">
        <f>B34-B42</f>
        <v>2.2936249927998063</v>
      </c>
      <c r="C43" s="32">
        <f>C34-C42</f>
        <v>10.177418299916134</v>
      </c>
      <c r="D43" s="32">
        <f>D34-D42</f>
        <v>27.530856518458435</v>
      </c>
      <c r="E43" s="32">
        <f>E34-E42</f>
        <v>61.393949216813866</v>
      </c>
      <c r="F43" s="32">
        <f>F34-F42</f>
        <v>96.38151174284972</v>
      </c>
    </row>
    <row r="45" spans="1:7" ht="15">
      <c r="A45" s="29" t="s">
        <v>61</v>
      </c>
      <c r="B45" s="29"/>
      <c r="C45" s="29"/>
      <c r="D45" s="29"/>
      <c r="E45" s="29"/>
      <c r="F45" s="29"/>
      <c r="G45" s="29"/>
    </row>
    <row r="46" spans="1:7" ht="12.75">
      <c r="A46" s="5"/>
      <c r="B46" s="16" t="s">
        <v>9</v>
      </c>
      <c r="C46" s="16"/>
      <c r="D46" s="16"/>
      <c r="E46" s="16"/>
      <c r="F46" s="16"/>
      <c r="G46" s="16"/>
    </row>
    <row r="47" spans="2:7" ht="12.75">
      <c r="B47" s="1">
        <v>125</v>
      </c>
      <c r="C47" s="1">
        <v>250</v>
      </c>
      <c r="D47" s="1">
        <v>500</v>
      </c>
      <c r="E47" s="1">
        <v>1000</v>
      </c>
      <c r="F47" s="1">
        <v>2000</v>
      </c>
      <c r="G47" s="1"/>
    </row>
    <row r="48" spans="1:6" ht="12.75">
      <c r="A48" s="9" t="s">
        <v>48</v>
      </c>
      <c r="B48">
        <f>B26</f>
        <v>75</v>
      </c>
      <c r="C48">
        <f>C26</f>
        <v>80</v>
      </c>
      <c r="D48">
        <f>D26</f>
        <v>82</v>
      </c>
      <c r="E48">
        <f>E26</f>
        <v>76</v>
      </c>
      <c r="F48">
        <f>F26</f>
        <v>70</v>
      </c>
    </row>
    <row r="49" spans="1:6" ht="12.75">
      <c r="A49" s="9" t="s">
        <v>49</v>
      </c>
      <c r="B49" s="32">
        <f>'RT60 Analysis'!D27</f>
        <v>198.4</v>
      </c>
      <c r="C49" s="32">
        <f>'RT60 Analysis'!E27</f>
        <v>224.1</v>
      </c>
      <c r="D49" s="32">
        <f>'RT60 Analysis'!F27</f>
        <v>174.20000000000002</v>
      </c>
      <c r="E49" s="32">
        <f>'RT60 Analysis'!G27</f>
        <v>161.79999999999998</v>
      </c>
      <c r="F49" s="32">
        <f>'RT60 Analysis'!H27</f>
        <v>194.79999999999998</v>
      </c>
    </row>
    <row r="50" spans="1:6" ht="12.75">
      <c r="A50" s="9" t="s">
        <v>47</v>
      </c>
      <c r="B50" s="32">
        <f>B48+10*LOG('RT60 Analysis'!D27)+6</f>
        <v>103.9754166781816</v>
      </c>
      <c r="C50" s="32">
        <f>C48+10*LOG('RT60 Analysis'!E27)+6</f>
        <v>109.50441856535062</v>
      </c>
      <c r="D50" s="32">
        <f>D48+10*LOG('RT60 Analysis'!F27)+6</f>
        <v>110.41048150671645</v>
      </c>
      <c r="E50" s="32">
        <f>E48+10*LOG('RT60 Analysis'!G27)+6</f>
        <v>104.08978517276253</v>
      </c>
      <c r="F50" s="32">
        <f>F48+10*LOG('RT60 Analysis'!H27)+6</f>
        <v>98.89588952542596</v>
      </c>
    </row>
    <row r="51" spans="1:6" ht="12.75">
      <c r="A51" s="9" t="s">
        <v>50</v>
      </c>
      <c r="B51" s="32">
        <f>'RT60 Analysis'!D29+8</f>
        <v>113.438</v>
      </c>
      <c r="C51" s="32">
        <f>'RT60 Analysis'!E29+8</f>
        <v>93.15700000000001</v>
      </c>
      <c r="D51" s="32">
        <f>'RT60 Analysis'!F29+8</f>
        <v>94.27499999999999</v>
      </c>
      <c r="E51" s="32">
        <f>'RT60 Analysis'!G29+8</f>
        <v>89.949</v>
      </c>
      <c r="F51" s="32">
        <f>'RT60 Analysis'!H29+8</f>
        <v>99.19000000000001</v>
      </c>
    </row>
    <row r="52" spans="1:6" ht="12.75">
      <c r="A52" s="1" t="s">
        <v>46</v>
      </c>
      <c r="B52" s="8">
        <f>B50-10*LOG(B51)-6</f>
        <v>77.42783106860523</v>
      </c>
      <c r="C52" s="8">
        <f>C50-10*LOG(C51)-6</f>
        <v>83.81226362336055</v>
      </c>
      <c r="D52" s="8">
        <f>D50-10*LOG(D51)-6</f>
        <v>84.66651609593987</v>
      </c>
      <c r="E52" s="8">
        <f>E50-10*LOG(E51)-6</f>
        <v>78.54982177798085</v>
      </c>
      <c r="F52" s="8">
        <f>F50-10*LOG(F51)-6</f>
        <v>72.93121062280878</v>
      </c>
    </row>
    <row r="54" spans="1:11" ht="15">
      <c r="A54" s="29" t="s">
        <v>62</v>
      </c>
      <c r="B54" s="29"/>
      <c r="C54" s="29"/>
      <c r="D54" s="29"/>
      <c r="E54" s="29"/>
      <c r="F54" s="29"/>
      <c r="G54" s="29"/>
      <c r="I54" s="11"/>
      <c r="J54" s="12"/>
      <c r="K54" s="9"/>
    </row>
    <row r="55" spans="1:7" ht="12.75">
      <c r="A55" s="5"/>
      <c r="B55" s="16" t="s">
        <v>9</v>
      </c>
      <c r="C55" s="16"/>
      <c r="D55" s="16"/>
      <c r="E55" s="16"/>
      <c r="F55" s="16"/>
      <c r="G55" s="16"/>
    </row>
    <row r="56" spans="2:7" ht="12.75">
      <c r="B56" s="1">
        <v>125</v>
      </c>
      <c r="C56" s="1">
        <v>250</v>
      </c>
      <c r="D56" s="1">
        <v>500</v>
      </c>
      <c r="E56" s="1">
        <v>1000</v>
      </c>
      <c r="F56" s="1">
        <v>2000</v>
      </c>
      <c r="G56" s="1"/>
    </row>
    <row r="57" spans="1:6" ht="12.75">
      <c r="A57" s="9" t="s">
        <v>52</v>
      </c>
      <c r="B57" s="32">
        <f>B52</f>
        <v>77.42783106860523</v>
      </c>
      <c r="C57" s="32">
        <f>C52</f>
        <v>83.81226362336055</v>
      </c>
      <c r="D57" s="32">
        <f>D52</f>
        <v>84.66651609593987</v>
      </c>
      <c r="E57" s="32">
        <f>E52</f>
        <v>78.54982177798085</v>
      </c>
      <c r="F57" s="32">
        <f>F52</f>
        <v>72.93121062280878</v>
      </c>
    </row>
    <row r="58" spans="1:6" ht="12.75">
      <c r="A58" s="25" t="s">
        <v>51</v>
      </c>
      <c r="B58" s="26">
        <f>B57-10*LOG(D20/s)-B4</f>
        <v>58.60458919387602</v>
      </c>
      <c r="C58" s="26">
        <f>C57-10*LOG(E20/s)-C4</f>
        <v>55.5116708428542</v>
      </c>
      <c r="D58" s="26">
        <f>D57-10*LOG(F20/s)-D4</f>
        <v>41.3561193388992</v>
      </c>
      <c r="E58" s="26">
        <f>E57-10*LOG(G20/s)-E4</f>
        <v>17.373414806322373</v>
      </c>
      <c r="F58" s="26">
        <f>F57-10*LOG(H20/s)-F4</f>
        <v>-8.109786368856874</v>
      </c>
    </row>
    <row r="59" spans="1:6" ht="12.75">
      <c r="A59" s="1"/>
      <c r="B59" s="8"/>
      <c r="C59" s="8"/>
      <c r="D59" s="8"/>
      <c r="E59" s="8"/>
      <c r="F59" s="8"/>
    </row>
    <row r="60" spans="1:11" ht="15">
      <c r="A60" s="29" t="s">
        <v>63</v>
      </c>
      <c r="B60" s="29"/>
      <c r="C60" s="29"/>
      <c r="D60" s="29"/>
      <c r="E60" s="29"/>
      <c r="F60" s="29"/>
      <c r="G60" s="29"/>
      <c r="K60" s="9"/>
    </row>
    <row r="61" spans="2:11" ht="12.75">
      <c r="B61" s="16" t="s">
        <v>9</v>
      </c>
      <c r="C61" s="16"/>
      <c r="D61" s="16"/>
      <c r="E61" s="16"/>
      <c r="F61" s="16"/>
      <c r="G61" s="16"/>
      <c r="K61" s="9"/>
    </row>
    <row r="62" spans="2:7" ht="12.75">
      <c r="B62" s="1">
        <v>125</v>
      </c>
      <c r="C62" s="1">
        <v>250</v>
      </c>
      <c r="D62" s="1">
        <v>500</v>
      </c>
      <c r="E62" s="1">
        <v>1000</v>
      </c>
      <c r="F62" s="1">
        <v>2000</v>
      </c>
      <c r="G62" s="1"/>
    </row>
    <row r="63" spans="1:11" ht="15.75">
      <c r="A63" s="9" t="s">
        <v>39</v>
      </c>
      <c r="B63" s="33">
        <f>10*LOG((1-((B62*2*PI())^2/w0))^2)</f>
        <v>15.919192588490858</v>
      </c>
      <c r="C63" s="33">
        <f>10*LOG((1-((C62*2*PI())^2/w0))^2)</f>
        <v>28.944582285098853</v>
      </c>
      <c r="D63" s="33">
        <f>10*LOG((1-((D62*2*PI())^2/w0))^2)</f>
        <v>41.21534138154538</v>
      </c>
      <c r="E63" s="33">
        <f>10*LOG((1-((E62*2*PI())^2/w0))^2)</f>
        <v>53.31299542421769</v>
      </c>
      <c r="F63" s="33">
        <f>10*LOG((1-((F62*2*PI())^2/w0))^2)</f>
        <v>65.36825165835953</v>
      </c>
      <c r="H63" s="18"/>
      <c r="I63" s="18"/>
      <c r="K63" s="9"/>
    </row>
    <row r="64" spans="1:11" ht="15.75">
      <c r="A64" s="9" t="s">
        <v>44</v>
      </c>
      <c r="B64" s="33">
        <f>B4+B63</f>
        <v>37.083266523553746</v>
      </c>
      <c r="C64" s="33">
        <f>C4+C63</f>
        <v>62.53470399553051</v>
      </c>
      <c r="D64" s="33">
        <f>D4+D63</f>
        <v>89.04389203313497</v>
      </c>
      <c r="E64" s="33">
        <f>E4+E63</f>
        <v>117.1923561827543</v>
      </c>
      <c r="F64" s="33">
        <f>F4+F63</f>
        <v>147.11080368963232</v>
      </c>
      <c r="H64" s="18"/>
      <c r="I64" s="18"/>
      <c r="K64" s="9"/>
    </row>
    <row r="65" spans="1:6" ht="12.75">
      <c r="A65" s="24" t="s">
        <v>81</v>
      </c>
      <c r="B65" s="34">
        <v>40.98</v>
      </c>
      <c r="C65" s="34">
        <f>C52-10*LOG(E21/s)-C64</f>
        <v>25.634845323444416</v>
      </c>
      <c r="D65" s="34">
        <f>D52-10*LOG(F21/s)-D64</f>
        <v>0.13565957748143376</v>
      </c>
      <c r="E65" s="34">
        <f>E52-10*LOG(G21/s)-E64</f>
        <v>-35.84412743883301</v>
      </c>
      <c r="F65" s="34">
        <f>F52-10*LOG(H21/s)-F64</f>
        <v>-73.45030112004095</v>
      </c>
    </row>
    <row r="66" spans="1:6" ht="12.75">
      <c r="A66" s="9" t="s">
        <v>76</v>
      </c>
      <c r="B66" s="33">
        <f>B34-B65</f>
        <v>0.020000000000003126</v>
      </c>
      <c r="C66" s="33">
        <f>C34-C65</f>
        <v>6.3651546765555835</v>
      </c>
      <c r="D66" s="33">
        <f>D34-D65</f>
        <v>24.864340422518566</v>
      </c>
      <c r="E66" s="33">
        <f>E34-E65</f>
        <v>58.84412743883301</v>
      </c>
      <c r="F66" s="33">
        <f>F34-F65</f>
        <v>93.45030112004095</v>
      </c>
    </row>
  </sheetData>
  <sheetProtection/>
  <mergeCells count="26">
    <mergeCell ref="A1:G1"/>
    <mergeCell ref="B2:G2"/>
    <mergeCell ref="A23:G23"/>
    <mergeCell ref="B24:G24"/>
    <mergeCell ref="A6:I6"/>
    <mergeCell ref="D7:I7"/>
    <mergeCell ref="A13:I13"/>
    <mergeCell ref="D14:I14"/>
    <mergeCell ref="A20:C20"/>
    <mergeCell ref="A29:G29"/>
    <mergeCell ref="B30:G30"/>
    <mergeCell ref="A37:G37"/>
    <mergeCell ref="B38:G38"/>
    <mergeCell ref="A45:G45"/>
    <mergeCell ref="H37:I37"/>
    <mergeCell ref="H38:I38"/>
    <mergeCell ref="H39:I39"/>
    <mergeCell ref="H40:I40"/>
    <mergeCell ref="H41:I41"/>
    <mergeCell ref="H63:I63"/>
    <mergeCell ref="H64:I64"/>
    <mergeCell ref="A54:G54"/>
    <mergeCell ref="B55:G55"/>
    <mergeCell ref="B46:G46"/>
    <mergeCell ref="A60:G60"/>
    <mergeCell ref="B61:G61"/>
  </mergeCells>
  <hyperlinks>
    <hyperlink ref="H36" r:id="rId1" display="http://www.rfcafe.com/references/general/density-building-materials.htm"/>
  </hyperlinks>
  <printOptions/>
  <pageMargins left="0.75" right="0.75" top="1" bottom="1" header="0.5" footer="0.5"/>
  <pageSetup horizontalDpi="600" verticalDpi="600" orientation="portrait" scale="4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Miami - Coral Gables, 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 Engineering</dc:creator>
  <cp:keywords/>
  <dc:description/>
  <cp:lastModifiedBy>Matt Montag</cp:lastModifiedBy>
  <cp:lastPrinted>2010-12-14T10:07:20Z</cp:lastPrinted>
  <dcterms:created xsi:type="dcterms:W3CDTF">2010-12-06T21:27:41Z</dcterms:created>
  <dcterms:modified xsi:type="dcterms:W3CDTF">2010-12-14T12:18:07Z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